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5440" windowHeight="13800"/>
  </bookViews>
  <sheets>
    <sheet name="vsk+ievirze" sheetId="1" r:id="rId1"/>
    <sheet name="Lapa3" sheetId="3" r:id="rId2"/>
  </sheets>
  <definedNames>
    <definedName name="OLE_LINK3" localSheetId="0">'vsk+ievirze'!$C$63</definedName>
  </definedNames>
  <calcPr calcId="125725"/>
</workbook>
</file>

<file path=xl/calcChain.xml><?xml version="1.0" encoding="utf-8"?>
<calcChain xmlns="http://schemas.openxmlformats.org/spreadsheetml/2006/main">
  <c r="N47" i="1"/>
  <c r="O47" s="1"/>
  <c r="E47"/>
  <c r="F47" s="1"/>
  <c r="J47" l="1"/>
  <c r="G47"/>
  <c r="I47" s="1"/>
  <c r="H47"/>
  <c r="K47" l="1"/>
  <c r="Q47" s="1"/>
  <c r="S47" s="1"/>
  <c r="S49" s="1"/>
  <c r="P47"/>
  <c r="U47" l="1"/>
  <c r="U49" s="1"/>
  <c r="R47"/>
  <c r="T47"/>
  <c r="G27"/>
  <c r="H7"/>
  <c r="G7"/>
  <c r="G35"/>
  <c r="E35"/>
  <c r="D35"/>
  <c r="K34"/>
  <c r="K35" s="1"/>
  <c r="J34"/>
  <c r="I34"/>
  <c r="I35" s="1"/>
  <c r="H34"/>
  <c r="J29"/>
  <c r="D29"/>
  <c r="K27"/>
  <c r="L27" s="1"/>
  <c r="L29" s="1"/>
  <c r="H27"/>
  <c r="H35" l="1"/>
  <c r="I27"/>
  <c r="M27" s="1"/>
  <c r="J35"/>
  <c r="L34"/>
  <c r="M34" s="1"/>
  <c r="N34" s="1"/>
  <c r="G29"/>
  <c r="G15"/>
  <c r="E15"/>
  <c r="D15"/>
  <c r="K13"/>
  <c r="K15" s="1"/>
  <c r="J13"/>
  <c r="J15" s="1"/>
  <c r="I13"/>
  <c r="I15" s="1"/>
  <c r="H13"/>
  <c r="J9"/>
  <c r="D9"/>
  <c r="K7"/>
  <c r="I7"/>
  <c r="G9"/>
  <c r="L13" l="1"/>
  <c r="M13" s="1"/>
  <c r="N13" s="1"/>
  <c r="I29"/>
  <c r="L35"/>
  <c r="M29"/>
  <c r="O27"/>
  <c r="M35"/>
  <c r="L7"/>
  <c r="L9" s="1"/>
  <c r="H15"/>
  <c r="P27" l="1"/>
  <c r="Q27"/>
  <c r="O29"/>
  <c r="S27"/>
  <c r="N35"/>
  <c r="M7"/>
  <c r="O7" s="1"/>
  <c r="I9"/>
  <c r="L15"/>
  <c r="U27" l="1"/>
  <c r="X27" s="1"/>
  <c r="X29" s="1"/>
  <c r="Q29"/>
  <c r="R27"/>
  <c r="R29" s="1"/>
  <c r="S29"/>
  <c r="T27"/>
  <c r="T29" s="1"/>
  <c r="P29"/>
  <c r="N15"/>
  <c r="S7"/>
  <c r="T7" s="1"/>
  <c r="P7"/>
  <c r="Q7"/>
  <c r="R7" s="1"/>
  <c r="M15"/>
  <c r="M9"/>
  <c r="U7" l="1"/>
  <c r="X7" s="1"/>
  <c r="Z7" s="1"/>
  <c r="AB7" s="1"/>
  <c r="U29"/>
  <c r="Z27"/>
  <c r="AB27" s="1"/>
  <c r="AB29" s="1"/>
  <c r="V27"/>
  <c r="O9"/>
  <c r="Z29" l="1"/>
  <c r="V29"/>
  <c r="Y27"/>
  <c r="Y29" s="1"/>
  <c r="Q9"/>
  <c r="R9"/>
  <c r="T9"/>
  <c r="S9"/>
  <c r="V7"/>
  <c r="P9"/>
  <c r="AA27" l="1"/>
  <c r="AC27" s="1"/>
  <c r="Y7"/>
  <c r="AA7" s="1"/>
  <c r="AC7" s="1"/>
  <c r="D20" s="1"/>
  <c r="D22" s="1"/>
  <c r="E53" s="1"/>
  <c r="V9"/>
  <c r="U9"/>
  <c r="X9"/>
  <c r="AA29" l="1"/>
  <c r="Y9"/>
  <c r="AA9"/>
  <c r="AC9"/>
  <c r="D40" l="1"/>
  <c r="D42" s="1"/>
  <c r="E54" s="1"/>
  <c r="AC29"/>
  <c r="Z9"/>
  <c r="AB9"/>
</calcChain>
</file>

<file path=xl/sharedStrings.xml><?xml version="1.0" encoding="utf-8"?>
<sst xmlns="http://schemas.openxmlformats.org/spreadsheetml/2006/main" count="151" uniqueCount="93">
  <si>
    <t>Izgl. iest. Nr.</t>
  </si>
  <si>
    <t>Programma</t>
  </si>
  <si>
    <t>Izglītības iestāde</t>
  </si>
  <si>
    <t>Izglītojamo skaits 01.09.2016.</t>
  </si>
  <si>
    <t>koef</t>
  </si>
  <si>
    <t xml:space="preserve">Izglītojamo skaits*koef 01.09.2016.        </t>
  </si>
  <si>
    <t>Apmaks. pedlikmju skaits uz 1 audz.</t>
  </si>
  <si>
    <t>Pedagogu darba likmju skaits</t>
  </si>
  <si>
    <t>audzēkņi dienesta viesnīcā</t>
  </si>
  <si>
    <t>Apmaks. pedlikmju skaits uz 1 audz. Dienesta viesnīcā</t>
  </si>
  <si>
    <t>Pedagogu darba likmju skaits dienesta viesnīcā</t>
  </si>
  <si>
    <t>Kopā pedagogu likmju skaits</t>
  </si>
  <si>
    <t xml:space="preserve">Minimālā samaksa par likmi </t>
  </si>
  <si>
    <t>Pedagogu darba algu fonds (atalgojuma) mēnesī</t>
  </si>
  <si>
    <t>Pedagogu darba algu fonds (atlīdzības)  mēnesī</t>
  </si>
  <si>
    <t>piemaksa 10% profesionālās izglītības pedagogiem (bez VSAOI) mēnesī</t>
  </si>
  <si>
    <t>piemaksa 10% profesionālās izglītības pedagogiem (ar VSAOI) mēnesī</t>
  </si>
  <si>
    <t>motvācijas fonds 13.5% atalgojums mēnesī</t>
  </si>
  <si>
    <t>motvācijas fonds 13.5% atlīdzība mēnesī</t>
  </si>
  <si>
    <t>Pedagogu atalgojuma fonds kopā mēnesī (5.3.+5.4.+5.5.punkti) mēnesī</t>
  </si>
  <si>
    <t>Pedagogu atalgojuma fonds kopā mēnesī (5.3.+5.4.+5.5.punkti)</t>
  </si>
  <si>
    <t>vadības un atbalsta ped. Apmaksas apmērs  mēnesī</t>
  </si>
  <si>
    <t>vadības un atbalsta pedagogu atalgojums mēnesī</t>
  </si>
  <si>
    <t>vadības pedagogu atlīdzība (mēnesī, euro</t>
  </si>
  <si>
    <r>
      <t xml:space="preserve">pedagogu un vadības </t>
    </r>
    <r>
      <rPr>
        <b/>
        <sz val="7"/>
        <rFont val="Arial"/>
        <family val="2"/>
        <charset val="186"/>
      </rPr>
      <t>mēneša</t>
    </r>
    <r>
      <rPr>
        <sz val="7"/>
        <rFont val="Arial"/>
        <family val="2"/>
        <charset val="186"/>
      </rPr>
      <t xml:space="preserve"> darba algas (atalgojuma) fonds mēnesī                     </t>
    </r>
  </si>
  <si>
    <r>
      <t xml:space="preserve">pedagogu un vadības </t>
    </r>
    <r>
      <rPr>
        <b/>
        <sz val="7"/>
        <rFont val="Arial"/>
        <family val="2"/>
        <charset val="186"/>
      </rPr>
      <t>mēneša</t>
    </r>
    <r>
      <rPr>
        <sz val="7"/>
        <rFont val="Arial"/>
        <family val="2"/>
        <charset val="186"/>
      </rPr>
      <t xml:space="preserve"> darba algas (atlīdzības) fonds                     </t>
    </r>
  </si>
  <si>
    <t xml:space="preserve">pedagogu un vadības  darba algas (atlīdzības) fonds janvārim-augustam)                     </t>
  </si>
  <si>
    <t>A</t>
  </si>
  <si>
    <t>B</t>
  </si>
  <si>
    <t>C</t>
  </si>
  <si>
    <t>D</t>
  </si>
  <si>
    <t xml:space="preserve"> Daugavpils mākslas vidusskola "Saules skola" vidējā prof.</t>
  </si>
  <si>
    <t>kopā</t>
  </si>
  <si>
    <t>Piemaksas par kvalitātes pakāpi</t>
  </si>
  <si>
    <t xml:space="preserve"> (skaits uz 01.09.2016. skolu iesniegtie dati) </t>
  </si>
  <si>
    <t>apmaksāto pedagoģisko likmju skaits  3.kv. pakāpe</t>
  </si>
  <si>
    <t>apmaksāto pedagoģisko likmju skaits  4.kv. pakāpe</t>
  </si>
  <si>
    <t>apmaksāto pedagoģisko likmju skaits  5.kv. pakāpe</t>
  </si>
  <si>
    <t xml:space="preserve">piemaksas mēnesī 3.kv.pakāpei </t>
  </si>
  <si>
    <t xml:space="preserve">piemaksas mēnesī 4.kv.pakāpei </t>
  </si>
  <si>
    <t xml:space="preserve">piemaksas mēnesī 5.kv.pakāpei </t>
  </si>
  <si>
    <t>kopā atalgojums  piemaksām mēnesī</t>
  </si>
  <si>
    <t>finansējums janvārim - augustam</t>
  </si>
  <si>
    <t xml:space="preserve"> 2017. gada 4 mēneši </t>
  </si>
  <si>
    <t xml:space="preserve"> programmas koef</t>
  </si>
  <si>
    <t>PIKC koef</t>
  </si>
  <si>
    <t xml:space="preserve">Izglītojamo skaits*koef        </t>
  </si>
  <si>
    <t xml:space="preserve"> 2017. gada 4mēneši </t>
  </si>
  <si>
    <t xml:space="preserve">pedagogu un vadības  darba algas (atalgojuma) fonds septembrī -decembrī)                     </t>
  </si>
  <si>
    <t>atlagojums piemaksām jan-aug (4 mēn)</t>
  </si>
  <si>
    <t xml:space="preserve">atlīdzība piemaksām jan-aug (4mēn) </t>
  </si>
  <si>
    <t xml:space="preserve"> Daugavpils mākslas vidusskola "Saules skola" vidējā prof. pašlaik plānotais</t>
  </si>
  <si>
    <t xml:space="preserve"> Provizoriskais aprēķins 2018. gads un turpmākie gadi 12 mēneši</t>
  </si>
  <si>
    <t xml:space="preserve">pedagogu un vadības  darba algas (atalgojuma) fonds gaam            </t>
  </si>
  <si>
    <t xml:space="preserve">pedagogu un vadības  darba algas (atlīdzības) fonds gadam                   </t>
  </si>
  <si>
    <t>atlagojums piemaksām gadam  (12 mēn)</t>
  </si>
  <si>
    <t>atlīdzība piemaksām gadam (12 Mēn)</t>
  </si>
  <si>
    <t>kopā papildus nepieciešamais 4 mēn</t>
  </si>
  <si>
    <t>kopā papildus nepieciešamais gadam</t>
  </si>
  <si>
    <t>apmaksāto pedagoģisko  likmju skaits mēnesī</t>
  </si>
  <si>
    <t>Daugavpils mākslas vidusskola "Saules skola"</t>
  </si>
  <si>
    <t>Valsts budžeta finansēto audz.skaits 2017.gadā  māksla 20V</t>
  </si>
  <si>
    <t>pedagoģisko likmju apmaksai  mēnesī (atl'dizība) euro</t>
  </si>
  <si>
    <t>piemaksas 13% atalgojums mēnesī</t>
  </si>
  <si>
    <t>piemaksas 13% atlīdzība mēnesī</t>
  </si>
  <si>
    <t>10% PIKC piemaksa atalgojums mēnesī</t>
  </si>
  <si>
    <t>10% PIKC piemaksa atlīdzība mēnesī</t>
  </si>
  <si>
    <t>kopā atalgojums mēnesim bez kv. Pak. Piemaksām</t>
  </si>
  <si>
    <t>kopā atlīdzība mēnesim bez kv. Pak. Piemaksām</t>
  </si>
  <si>
    <t>kopā atalgojums 4 mēnešiem bez kv. Pak. Piemaksām</t>
  </si>
  <si>
    <t>likmes 3.kv.pakāpe</t>
  </si>
  <si>
    <t>likmes 4.kv.pakāpe</t>
  </si>
  <si>
    <t>atlīdzība kv.pak. piemaksām mēnesī</t>
  </si>
  <si>
    <t>atalgojums kv.pak. piemaksām mēnesī</t>
  </si>
  <si>
    <t xml:space="preserve">kopā atalgojums gadam </t>
  </si>
  <si>
    <t xml:space="preserve">kopā atlīzība gadam </t>
  </si>
  <si>
    <t>Provizoriski budžetā plānotais:</t>
  </si>
  <si>
    <t xml:space="preserve">Papildus nepieciešamais finansējums: </t>
  </si>
  <si>
    <t>Prof.ievirzes programmas</t>
  </si>
  <si>
    <t>2017.gada 4 mēneši</t>
  </si>
  <si>
    <t>Kopā papildus nepieciešamais fiansējums</t>
  </si>
  <si>
    <t>Pašvaldību izglītības iestāžu profesionālās vidējās izglītības  programmu finansēšanai nepieciešamais finansējums</t>
  </si>
  <si>
    <t>Kultūras ministre</t>
  </si>
  <si>
    <t>D.Melbārde</t>
  </si>
  <si>
    <t>Vīza: Valsts sekretārs</t>
  </si>
  <si>
    <t>S.Voldiņš</t>
  </si>
  <si>
    <t>2018.gads un turpmākie gadi  12 mēneši</t>
  </si>
  <si>
    <t>pedagoģisko likmju apmaksai  mēnesī (atalgojums) euro</t>
  </si>
  <si>
    <t>Daugavpils mākslas vidusskola "Saules skola" vidējā prof. pašlaik plānotais</t>
  </si>
  <si>
    <t>Daugavpils mākslas vidusskola "Saules skola" vidējā prof.</t>
  </si>
  <si>
    <t>Pielikums 
Ministru kabineta 
2017.gada _.___________ 
rīkojuma Nr. ______ 
projekta anotācijai</t>
  </si>
  <si>
    <t>Roventa.Putnina@km.gov.lv</t>
  </si>
  <si>
    <t>Putniņa 67330288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</si>
</sst>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18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7"/>
      <name val="Arial"/>
      <family val="2"/>
      <charset val="186"/>
    </font>
    <font>
      <b/>
      <sz val="7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8"/>
      <color rgb="FFC0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0" fontId="5" fillId="0" borderId="3" xfId="0" applyFont="1" applyFill="1" applyBorder="1" applyAlignment="1"/>
    <xf numFmtId="164" fontId="5" fillId="0" borderId="3" xfId="0" applyNumberFormat="1" applyFont="1" applyFill="1" applyBorder="1" applyAlignment="1"/>
    <xf numFmtId="2" fontId="5" fillId="0" borderId="3" xfId="0" applyNumberFormat="1" applyFont="1" applyFill="1" applyBorder="1" applyAlignment="1"/>
    <xf numFmtId="2" fontId="8" fillId="0" borderId="3" xfId="0" applyNumberFormat="1" applyFont="1" applyFill="1" applyBorder="1" applyAlignment="1"/>
    <xf numFmtId="4" fontId="5" fillId="2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5" fillId="4" borderId="3" xfId="0" applyNumberFormat="1" applyFont="1" applyFill="1" applyBorder="1" applyAlignment="1"/>
    <xf numFmtId="4" fontId="5" fillId="5" borderId="3" xfId="0" applyNumberFormat="1" applyFont="1" applyFill="1" applyBorder="1" applyAlignment="1"/>
    <xf numFmtId="9" fontId="5" fillId="0" borderId="3" xfId="0" applyNumberFormat="1" applyFont="1" applyFill="1" applyBorder="1" applyAlignment="1"/>
    <xf numFmtId="4" fontId="9" fillId="0" borderId="3" xfId="0" applyNumberFormat="1" applyFont="1" applyFill="1" applyBorder="1" applyAlignment="1"/>
    <xf numFmtId="0" fontId="5" fillId="0" borderId="1" xfId="0" applyFont="1" applyBorder="1" applyAlignment="1">
      <alignment horizontal="left" wrapText="1"/>
    </xf>
    <xf numFmtId="0" fontId="5" fillId="6" borderId="2" xfId="0" applyFont="1" applyFill="1" applyBorder="1" applyAlignment="1">
      <alignment horizontal="left" wrapText="1"/>
    </xf>
    <xf numFmtId="3" fontId="8" fillId="6" borderId="3" xfId="0" applyNumberFormat="1" applyFont="1" applyFill="1" applyBorder="1" applyAlignment="1"/>
    <xf numFmtId="4" fontId="8" fillId="6" borderId="3" xfId="0" applyNumberFormat="1" applyFont="1" applyFill="1" applyBorder="1" applyAlignment="1"/>
    <xf numFmtId="4" fontId="9" fillId="6" borderId="3" xfId="0" applyNumberFormat="1" applyFont="1" applyFill="1" applyBorder="1" applyAlignment="1"/>
    <xf numFmtId="0" fontId="2" fillId="0" borderId="0" xfId="0" applyFont="1"/>
    <xf numFmtId="0" fontId="6" fillId="0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10" fillId="0" borderId="3" xfId="0" applyNumberFormat="1" applyFont="1" applyFill="1" applyBorder="1"/>
    <xf numFmtId="2" fontId="10" fillId="0" borderId="3" xfId="0" applyNumberFormat="1" applyFont="1" applyBorder="1"/>
    <xf numFmtId="2" fontId="10" fillId="7" borderId="3" xfId="0" applyNumberFormat="1" applyFont="1" applyFill="1" applyBorder="1"/>
    <xf numFmtId="0" fontId="10" fillId="0" borderId="0" xfId="0" applyFont="1" applyFill="1" applyBorder="1"/>
    <xf numFmtId="0" fontId="10" fillId="0" borderId="3" xfId="0" applyFont="1" applyBorder="1"/>
    <xf numFmtId="2" fontId="11" fillId="6" borderId="3" xfId="0" applyNumberFormat="1" applyFont="1" applyFill="1" applyBorder="1"/>
    <xf numFmtId="0" fontId="11" fillId="0" borderId="0" xfId="0" applyFont="1" applyFill="1" applyBorder="1"/>
    <xf numFmtId="2" fontId="10" fillId="0" borderId="0" xfId="0" applyNumberFormat="1" applyFont="1" applyBorder="1"/>
    <xf numFmtId="0" fontId="0" fillId="0" borderId="0" xfId="0" applyBorder="1"/>
    <xf numFmtId="2" fontId="11" fillId="0" borderId="0" xfId="0" applyNumberFormat="1" applyFont="1" applyFill="1" applyBorder="1"/>
    <xf numFmtId="0" fontId="5" fillId="8" borderId="2" xfId="0" applyFont="1" applyFill="1" applyBorder="1" applyAlignment="1">
      <alignment horizontal="left" wrapText="1"/>
    </xf>
    <xf numFmtId="3" fontId="8" fillId="8" borderId="3" xfId="0" applyNumberFormat="1" applyFont="1" applyFill="1" applyBorder="1" applyAlignment="1"/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3" fontId="14" fillId="0" borderId="5" xfId="1" applyNumberFormat="1" applyFont="1" applyFill="1" applyBorder="1"/>
    <xf numFmtId="3" fontId="0" fillId="0" borderId="3" xfId="0" applyNumberFormat="1" applyBorder="1"/>
    <xf numFmtId="3" fontId="2" fillId="8" borderId="3" xfId="0" applyNumberFormat="1" applyFont="1" applyFill="1" applyBorder="1"/>
    <xf numFmtId="0" fontId="2" fillId="8" borderId="3" xfId="0" applyFont="1" applyFill="1" applyBorder="1"/>
    <xf numFmtId="0" fontId="15" fillId="0" borderId="0" xfId="0" applyFont="1"/>
    <xf numFmtId="0" fontId="15" fillId="0" borderId="0" xfId="0" applyFont="1" applyAlignment="1">
      <alignment horizontal="justify"/>
    </xf>
    <xf numFmtId="0" fontId="16" fillId="0" borderId="0" xfId="0" applyFont="1"/>
    <xf numFmtId="0" fontId="17" fillId="0" borderId="0" xfId="2" applyAlignment="1" applyProtection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horizontal="justify"/>
    </xf>
    <xf numFmtId="3" fontId="10" fillId="0" borderId="6" xfId="0" applyNumberFormat="1" applyFont="1" applyFill="1" applyBorder="1" applyAlignment="1">
      <alignment wrapText="1"/>
    </xf>
    <xf numFmtId="0" fontId="10" fillId="3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5" fontId="10" fillId="3" borderId="3" xfId="1" applyNumberFormat="1" applyFont="1" applyFill="1" applyBorder="1" applyAlignment="1">
      <alignment wrapText="1"/>
    </xf>
    <xf numFmtId="43" fontId="10" fillId="3" borderId="3" xfId="1" applyFont="1" applyFill="1" applyBorder="1" applyAlignment="1"/>
    <xf numFmtId="43" fontId="10" fillId="9" borderId="3" xfId="1" applyFont="1" applyFill="1" applyBorder="1" applyAlignment="1"/>
    <xf numFmtId="43" fontId="10" fillId="7" borderId="3" xfId="1" applyFont="1" applyFill="1" applyBorder="1"/>
    <xf numFmtId="43" fontId="13" fillId="7" borderId="3" xfId="1" applyFont="1" applyFill="1" applyBorder="1" applyAlignment="1"/>
    <xf numFmtId="43" fontId="13" fillId="10" borderId="3" xfId="1" applyFont="1" applyFill="1" applyBorder="1" applyAlignment="1"/>
    <xf numFmtId="43" fontId="11" fillId="0" borderId="3" xfId="1" applyFont="1" applyFill="1" applyBorder="1"/>
    <xf numFmtId="4" fontId="10" fillId="0" borderId="3" xfId="1" applyNumberFormat="1" applyFont="1" applyFill="1" applyBorder="1"/>
    <xf numFmtId="3" fontId="14" fillId="0" borderId="3" xfId="1" applyNumberFormat="1" applyFont="1" applyFill="1" applyBorder="1"/>
    <xf numFmtId="0" fontId="0" fillId="0" borderId="0" xfId="0" applyBorder="1" applyAlignment="1">
      <alignment horizontal="right"/>
    </xf>
    <xf numFmtId="3" fontId="8" fillId="11" borderId="3" xfId="0" applyNumberFormat="1" applyFont="1" applyFill="1" applyBorder="1" applyAlignment="1"/>
    <xf numFmtId="0" fontId="0" fillId="0" borderId="3" xfId="0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 wrapText="1"/>
    </xf>
  </cellXfs>
  <cellStyles count="3">
    <cellStyle name="Atdalītāji" xfId="1" builtinId="3"/>
    <cellStyle name="Hipersaite" xfId="2" builtinId="8"/>
    <cellStyle name="Parastai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venta.Putnina@k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7"/>
  <sheetViews>
    <sheetView tabSelected="1" view="pageBreakPreview" topLeftCell="A44" zoomScale="80" zoomScaleNormal="100" zoomScaleSheetLayoutView="80" workbookViewId="0">
      <selection activeCell="H55" sqref="H55"/>
    </sheetView>
  </sheetViews>
  <sheetFormatPr defaultRowHeight="15"/>
  <cols>
    <col min="2" max="2" width="3" customWidth="1"/>
    <col min="3" max="3" width="33.42578125" customWidth="1"/>
    <col min="4" max="4" width="10.42578125" bestFit="1" customWidth="1"/>
    <col min="5" max="5" width="10" customWidth="1"/>
    <col min="6" max="6" width="9.7109375" customWidth="1"/>
    <col min="7" max="7" width="10.140625" customWidth="1"/>
    <col min="9" max="9" width="9.140625" customWidth="1"/>
    <col min="10" max="15" width="10.7109375" customWidth="1"/>
    <col min="16" max="16" width="11" customWidth="1"/>
    <col min="17" max="17" width="10.140625" bestFit="1" customWidth="1"/>
    <col min="18" max="25" width="10.140625" customWidth="1"/>
    <col min="28" max="28" width="13.28515625" customWidth="1"/>
    <col min="29" max="29" width="11.28515625" customWidth="1"/>
    <col min="30" max="30" width="11" customWidth="1"/>
    <col min="31" max="31" width="11.140625" customWidth="1"/>
  </cols>
  <sheetData>
    <row r="1" spans="1:29" ht="75.75" customHeight="1">
      <c r="Z1" s="82" t="s">
        <v>90</v>
      </c>
      <c r="AA1" s="82"/>
      <c r="AB1" s="82"/>
      <c r="AC1" s="60"/>
    </row>
    <row r="2" spans="1:29" ht="18.75">
      <c r="A2" s="1" t="s">
        <v>81</v>
      </c>
      <c r="C2" s="2"/>
    </row>
    <row r="4" spans="1:29" ht="15.75" customHeight="1">
      <c r="A4" s="3" t="s">
        <v>43</v>
      </c>
      <c r="B4" s="3"/>
      <c r="C4" s="3"/>
      <c r="D4" s="3"/>
    </row>
    <row r="5" spans="1:29" ht="58.5">
      <c r="A5" s="4" t="s">
        <v>0</v>
      </c>
      <c r="B5" s="5" t="s">
        <v>1</v>
      </c>
      <c r="C5" s="6" t="s">
        <v>2</v>
      </c>
      <c r="D5" s="7" t="s">
        <v>3</v>
      </c>
      <c r="E5" s="7" t="s">
        <v>44</v>
      </c>
      <c r="F5" s="7" t="s">
        <v>45</v>
      </c>
      <c r="G5" s="7" t="s">
        <v>46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8" t="s">
        <v>13</v>
      </c>
      <c r="P5" s="8" t="s">
        <v>14</v>
      </c>
      <c r="Q5" s="9" t="s">
        <v>15</v>
      </c>
      <c r="R5" s="9" t="s">
        <v>16</v>
      </c>
      <c r="S5" s="10" t="s">
        <v>17</v>
      </c>
      <c r="T5" s="10" t="s">
        <v>18</v>
      </c>
      <c r="U5" s="11" t="s">
        <v>19</v>
      </c>
      <c r="V5" s="11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48</v>
      </c>
      <c r="AC5" s="7" t="s">
        <v>26</v>
      </c>
    </row>
    <row r="6" spans="1:29">
      <c r="A6" s="4">
        <v>1</v>
      </c>
      <c r="B6" s="12">
        <v>2</v>
      </c>
      <c r="C6" s="6">
        <v>3</v>
      </c>
      <c r="D6" s="4">
        <v>4</v>
      </c>
      <c r="E6" s="12">
        <v>5</v>
      </c>
      <c r="F6" s="6">
        <v>6</v>
      </c>
      <c r="G6" s="4">
        <v>7</v>
      </c>
      <c r="H6" s="12">
        <v>8</v>
      </c>
      <c r="I6" s="6">
        <v>9</v>
      </c>
      <c r="J6" s="4">
        <v>10</v>
      </c>
      <c r="K6" s="12">
        <v>11</v>
      </c>
      <c r="L6" s="6">
        <v>12</v>
      </c>
      <c r="M6" s="4">
        <v>13</v>
      </c>
      <c r="N6" s="12">
        <v>14</v>
      </c>
      <c r="O6" s="6">
        <v>15</v>
      </c>
      <c r="P6" s="4">
        <v>16</v>
      </c>
      <c r="Q6" s="12">
        <v>17</v>
      </c>
      <c r="R6" s="6">
        <v>18</v>
      </c>
      <c r="S6" s="4">
        <v>19</v>
      </c>
      <c r="T6" s="12">
        <v>20</v>
      </c>
      <c r="U6" s="6">
        <v>21</v>
      </c>
      <c r="V6" s="4">
        <v>22</v>
      </c>
      <c r="W6" s="12">
        <v>23</v>
      </c>
      <c r="X6" s="6">
        <v>24</v>
      </c>
      <c r="Y6" s="4">
        <v>25</v>
      </c>
      <c r="Z6" s="12">
        <v>26</v>
      </c>
      <c r="AA6" s="6">
        <v>27</v>
      </c>
      <c r="AB6" s="4">
        <v>28</v>
      </c>
      <c r="AC6" s="12">
        <v>29</v>
      </c>
    </row>
    <row r="7" spans="1:29" ht="23.25">
      <c r="A7" s="13"/>
      <c r="B7" s="14" t="s">
        <v>28</v>
      </c>
      <c r="C7" s="15" t="s">
        <v>31</v>
      </c>
      <c r="D7" s="16">
        <v>140</v>
      </c>
      <c r="E7" s="17">
        <v>2.52</v>
      </c>
      <c r="F7" s="17">
        <v>1.1000000000000001</v>
      </c>
      <c r="G7" s="18">
        <f>ROUNDUP(D7*E7*F7,0)</f>
        <v>389</v>
      </c>
      <c r="H7" s="19">
        <f>1/10.8</f>
        <v>9.2592592592592587E-2</v>
      </c>
      <c r="I7" s="20">
        <f>ROUND(G7*H7,2)</f>
        <v>36.020000000000003</v>
      </c>
      <c r="J7" s="17">
        <v>0</v>
      </c>
      <c r="K7" s="19">
        <f>1/75</f>
        <v>1.3333333333333334E-2</v>
      </c>
      <c r="L7" s="19">
        <f>ROUND(J7*K7,2)</f>
        <v>0</v>
      </c>
      <c r="M7" s="21">
        <f>I7+L7</f>
        <v>36.020000000000003</v>
      </c>
      <c r="N7" s="17">
        <v>680</v>
      </c>
      <c r="O7" s="22">
        <f>ROUND(M7*N7,2)</f>
        <v>24493.599999999999</v>
      </c>
      <c r="P7" s="22">
        <f>ROUND(O7*1.2359,2)</f>
        <v>30271.64</v>
      </c>
      <c r="Q7" s="23">
        <f>ROUND(O7*0.1,2)</f>
        <v>2449.36</v>
      </c>
      <c r="R7" s="23">
        <f>ROUND(Q7*1.2359,2)</f>
        <v>3027.16</v>
      </c>
      <c r="S7" s="24">
        <f>ROUND(O7*0.135,2)</f>
        <v>3306.64</v>
      </c>
      <c r="T7" s="24">
        <f>ROUND(S7*1.2359,2)</f>
        <v>4086.68</v>
      </c>
      <c r="U7" s="25">
        <f>O7+Q7+S7</f>
        <v>30249.599999999999</v>
      </c>
      <c r="V7" s="25">
        <f>P7+R7+T7</f>
        <v>37385.480000000003</v>
      </c>
      <c r="W7" s="26">
        <v>0.18</v>
      </c>
      <c r="X7" s="17">
        <f>ROUND(U7*W7,2)</f>
        <v>5444.93</v>
      </c>
      <c r="Y7" s="17">
        <f>ROUND(V7*W7,2)</f>
        <v>6729.39</v>
      </c>
      <c r="Z7" s="17">
        <f>U7+X7</f>
        <v>35694.53</v>
      </c>
      <c r="AA7" s="17">
        <f>V7+Y7</f>
        <v>44114.87</v>
      </c>
      <c r="AB7" s="17">
        <f>Z7*4</f>
        <v>142778.12</v>
      </c>
      <c r="AC7" s="27">
        <f>AA7*4</f>
        <v>176459.48</v>
      </c>
    </row>
    <row r="8" spans="1:29" hidden="1">
      <c r="A8" s="13"/>
      <c r="B8" s="14"/>
      <c r="C8" s="16"/>
      <c r="D8" s="16"/>
      <c r="E8" s="17"/>
      <c r="F8" s="17"/>
      <c r="G8" s="18"/>
      <c r="H8" s="19"/>
      <c r="I8" s="20"/>
      <c r="J8" s="17"/>
      <c r="K8" s="19"/>
      <c r="L8" s="19"/>
      <c r="M8" s="21"/>
      <c r="N8" s="17"/>
      <c r="O8" s="22"/>
      <c r="P8" s="22"/>
      <c r="Q8" s="23"/>
      <c r="R8" s="23"/>
      <c r="S8" s="24"/>
      <c r="T8" s="24"/>
      <c r="U8" s="25"/>
      <c r="V8" s="25"/>
      <c r="W8" s="26"/>
      <c r="X8" s="17"/>
      <c r="Y8" s="17"/>
      <c r="Z8" s="17"/>
      <c r="AA8" s="17"/>
      <c r="AB8" s="17"/>
      <c r="AC8" s="27"/>
    </row>
    <row r="9" spans="1:29">
      <c r="A9" s="28"/>
      <c r="B9" s="29"/>
      <c r="C9" s="30" t="s">
        <v>32</v>
      </c>
      <c r="D9" s="30">
        <f>SUM(D7:D8)</f>
        <v>140</v>
      </c>
      <c r="E9" s="30"/>
      <c r="F9" s="30"/>
      <c r="G9" s="30">
        <f>SUM(G7:G8)</f>
        <v>389</v>
      </c>
      <c r="H9" s="30"/>
      <c r="I9" s="31">
        <f t="shared" ref="I9" si="0">SUM(I7:I8)</f>
        <v>36.020000000000003</v>
      </c>
      <c r="J9" s="31">
        <f>SUM(J6:J8)</f>
        <v>10</v>
      </c>
      <c r="K9" s="31"/>
      <c r="L9" s="31">
        <f>SUM(L7:L8)</f>
        <v>0</v>
      </c>
      <c r="M9" s="31">
        <f>SUM(M7:M8)</f>
        <v>36.020000000000003</v>
      </c>
      <c r="N9" s="30"/>
      <c r="O9" s="31">
        <f t="shared" ref="O9:V9" si="1">SUM(O7:O8)</f>
        <v>24493.599999999999</v>
      </c>
      <c r="P9" s="31">
        <f t="shared" si="1"/>
        <v>30271.64</v>
      </c>
      <c r="Q9" s="31">
        <f t="shared" si="1"/>
        <v>2449.36</v>
      </c>
      <c r="R9" s="31">
        <f t="shared" si="1"/>
        <v>3027.16</v>
      </c>
      <c r="S9" s="31">
        <f t="shared" si="1"/>
        <v>3306.64</v>
      </c>
      <c r="T9" s="31">
        <f t="shared" si="1"/>
        <v>4086.68</v>
      </c>
      <c r="U9" s="31">
        <f t="shared" si="1"/>
        <v>30249.599999999999</v>
      </c>
      <c r="V9" s="31">
        <f t="shared" si="1"/>
        <v>37385.480000000003</v>
      </c>
      <c r="W9" s="31"/>
      <c r="X9" s="31">
        <f>SUM(X7:X8)</f>
        <v>5444.93</v>
      </c>
      <c r="Y9" s="31">
        <f>SUM(Y6:Y8)</f>
        <v>6754.39</v>
      </c>
      <c r="Z9" s="31">
        <f>SUM(Z7:Z8)</f>
        <v>35694.53</v>
      </c>
      <c r="AA9" s="31">
        <f>SUM(AA6:AA8)</f>
        <v>44141.87</v>
      </c>
      <c r="AB9" s="31">
        <f>SUM(AB7:AB8)</f>
        <v>142778.12</v>
      </c>
      <c r="AC9" s="32">
        <f t="shared" ref="AC9" si="2">SUM(AC7:AC8)</f>
        <v>176459.48</v>
      </c>
    </row>
    <row r="11" spans="1:29">
      <c r="C11" s="33" t="s">
        <v>33</v>
      </c>
    </row>
    <row r="12" spans="1:29" ht="39">
      <c r="C12" s="34"/>
      <c r="D12" s="34" t="s">
        <v>35</v>
      </c>
      <c r="E12" s="34" t="s">
        <v>36</v>
      </c>
      <c r="F12" s="34"/>
      <c r="G12" s="34" t="s">
        <v>37</v>
      </c>
      <c r="H12" s="34" t="s">
        <v>38</v>
      </c>
      <c r="I12" s="34" t="s">
        <v>39</v>
      </c>
      <c r="J12" s="34" t="s">
        <v>40</v>
      </c>
      <c r="K12" s="34" t="s">
        <v>40</v>
      </c>
      <c r="L12" s="35" t="s">
        <v>41</v>
      </c>
      <c r="M12" s="34" t="s">
        <v>49</v>
      </c>
      <c r="N12" s="34" t="s">
        <v>50</v>
      </c>
      <c r="R12" s="36"/>
      <c r="S12" s="36"/>
      <c r="T12" s="36"/>
      <c r="U12" s="36"/>
      <c r="V12" s="36"/>
      <c r="W12" s="36"/>
      <c r="X12" s="36"/>
      <c r="Y12" s="37"/>
    </row>
    <row r="13" spans="1:29" ht="23.25">
      <c r="C13" s="15" t="s">
        <v>89</v>
      </c>
      <c r="D13" s="38">
        <v>15</v>
      </c>
      <c r="E13" s="38">
        <v>0.4</v>
      </c>
      <c r="F13" s="38"/>
      <c r="G13" s="39">
        <v>0</v>
      </c>
      <c r="H13" s="39">
        <f>ROUND(D13*45,2)</f>
        <v>675</v>
      </c>
      <c r="I13" s="39">
        <f>ROUND(E13*114,2)</f>
        <v>45.6</v>
      </c>
      <c r="J13" s="39">
        <f>ROUND(G13*145,2)</f>
        <v>0</v>
      </c>
      <c r="K13" s="39">
        <f>ROUND(G13*140,2)</f>
        <v>0</v>
      </c>
      <c r="L13" s="40">
        <f>SUM(H13:K13)</f>
        <v>720.6</v>
      </c>
      <c r="M13" s="39">
        <f>L13*4</f>
        <v>2882.4</v>
      </c>
      <c r="N13" s="39">
        <f>ROUNDUP(M13*1.2359,0)</f>
        <v>3563</v>
      </c>
      <c r="R13" s="45"/>
      <c r="S13" s="45"/>
      <c r="T13" s="41"/>
      <c r="U13" s="41"/>
      <c r="V13" s="41"/>
      <c r="W13" s="41"/>
      <c r="X13" s="41"/>
      <c r="Y13" s="37"/>
    </row>
    <row r="14" spans="1:29" hidden="1">
      <c r="C14" s="16"/>
      <c r="D14" s="38"/>
      <c r="E14" s="38"/>
      <c r="F14" s="38"/>
      <c r="G14" s="39"/>
      <c r="H14" s="39"/>
      <c r="I14" s="39"/>
      <c r="J14" s="39"/>
      <c r="K14" s="39"/>
      <c r="L14" s="40"/>
      <c r="M14" s="39"/>
      <c r="N14" s="39"/>
      <c r="R14" s="45"/>
      <c r="S14" s="45"/>
      <c r="T14" s="41"/>
      <c r="U14" s="41"/>
      <c r="V14" s="41"/>
      <c r="W14" s="41"/>
      <c r="X14" s="41"/>
      <c r="Y14" s="37"/>
    </row>
    <row r="15" spans="1:29">
      <c r="C15" s="42"/>
      <c r="D15" s="43">
        <f>SUM(D13:D14)</f>
        <v>15</v>
      </c>
      <c r="E15" s="43">
        <f>SUM(E13:E14)</f>
        <v>0.4</v>
      </c>
      <c r="F15" s="43"/>
      <c r="G15" s="43">
        <f t="shared" ref="G15:H15" si="3">SUM(G13:G14)</f>
        <v>0</v>
      </c>
      <c r="H15" s="43">
        <f t="shared" si="3"/>
        <v>675</v>
      </c>
      <c r="I15" s="43">
        <f>SUM(I13:I14)</f>
        <v>45.6</v>
      </c>
      <c r="J15" s="43">
        <f>SUM(J13:J14)</f>
        <v>0</v>
      </c>
      <c r="K15" s="43">
        <f t="shared" ref="K15:L15" si="4">SUM(K13:K14)</f>
        <v>0</v>
      </c>
      <c r="L15" s="43">
        <f t="shared" si="4"/>
        <v>720.6</v>
      </c>
      <c r="M15" s="43">
        <f>SUM(M13:M14)</f>
        <v>2882.4</v>
      </c>
      <c r="N15" s="43">
        <f>SUM(N13:N14)</f>
        <v>3563</v>
      </c>
      <c r="R15" s="47"/>
      <c r="S15" s="47"/>
      <c r="T15" s="44"/>
      <c r="U15" s="44"/>
      <c r="V15" s="44"/>
      <c r="W15" s="44"/>
      <c r="X15" s="44"/>
      <c r="Y15" s="37"/>
    </row>
    <row r="16" spans="1:29">
      <c r="R16" s="46"/>
      <c r="S16" s="46"/>
      <c r="T16" s="46"/>
    </row>
    <row r="17" spans="1:29">
      <c r="A17" s="3" t="s">
        <v>47</v>
      </c>
      <c r="B17" s="3"/>
      <c r="C17" s="3"/>
      <c r="D17" s="3"/>
    </row>
    <row r="18" spans="1:29" ht="45.75">
      <c r="A18" s="4" t="s">
        <v>0</v>
      </c>
      <c r="B18" s="5" t="s">
        <v>1</v>
      </c>
      <c r="C18" s="6" t="s">
        <v>2</v>
      </c>
      <c r="D18" s="7" t="s">
        <v>42</v>
      </c>
    </row>
    <row r="19" spans="1:29">
      <c r="A19" s="4" t="s">
        <v>27</v>
      </c>
      <c r="B19" s="12" t="s">
        <v>28</v>
      </c>
      <c r="C19" s="6" t="s">
        <v>29</v>
      </c>
      <c r="D19" s="6" t="s">
        <v>30</v>
      </c>
    </row>
    <row r="20" spans="1:29" ht="23.25">
      <c r="A20" s="13"/>
      <c r="B20" s="14" t="s">
        <v>28</v>
      </c>
      <c r="C20" s="15" t="s">
        <v>31</v>
      </c>
      <c r="D20" s="16">
        <f>AC7+N13</f>
        <v>180022.48</v>
      </c>
    </row>
    <row r="21" spans="1:29" ht="23.25">
      <c r="A21" s="13"/>
      <c r="B21" s="14" t="s">
        <v>28</v>
      </c>
      <c r="C21" s="15" t="s">
        <v>51</v>
      </c>
      <c r="D21" s="16">
        <v>163708</v>
      </c>
    </row>
    <row r="22" spans="1:29">
      <c r="A22" s="28"/>
      <c r="B22" s="48"/>
      <c r="C22" s="49" t="s">
        <v>57</v>
      </c>
      <c r="D22" s="49">
        <f>D20-D21</f>
        <v>16314.48000000001</v>
      </c>
    </row>
    <row r="24" spans="1:29">
      <c r="A24" s="3" t="s">
        <v>52</v>
      </c>
      <c r="B24" s="3"/>
      <c r="C24" s="3"/>
      <c r="D24" s="3"/>
    </row>
    <row r="25" spans="1:29" ht="58.5">
      <c r="A25" s="4" t="s">
        <v>0</v>
      </c>
      <c r="B25" s="5" t="s">
        <v>1</v>
      </c>
      <c r="C25" s="6" t="s">
        <v>2</v>
      </c>
      <c r="D25" s="7" t="s">
        <v>3</v>
      </c>
      <c r="E25" s="7" t="s">
        <v>4</v>
      </c>
      <c r="F25" s="7" t="s">
        <v>45</v>
      </c>
      <c r="G25" s="7" t="s">
        <v>5</v>
      </c>
      <c r="H25" s="7" t="s">
        <v>6</v>
      </c>
      <c r="I25" s="7" t="s">
        <v>7</v>
      </c>
      <c r="J25" s="7" t="s">
        <v>8</v>
      </c>
      <c r="K25" s="7" t="s">
        <v>9</v>
      </c>
      <c r="L25" s="7" t="s">
        <v>10</v>
      </c>
      <c r="M25" s="7" t="s">
        <v>11</v>
      </c>
      <c r="N25" s="7" t="s">
        <v>12</v>
      </c>
      <c r="O25" s="8" t="s">
        <v>13</v>
      </c>
      <c r="P25" s="8" t="s">
        <v>14</v>
      </c>
      <c r="Q25" s="9" t="s">
        <v>15</v>
      </c>
      <c r="R25" s="9" t="s">
        <v>16</v>
      </c>
      <c r="S25" s="10" t="s">
        <v>17</v>
      </c>
      <c r="T25" s="10" t="s">
        <v>18</v>
      </c>
      <c r="U25" s="11" t="s">
        <v>19</v>
      </c>
      <c r="V25" s="11" t="s">
        <v>20</v>
      </c>
      <c r="W25" s="7" t="s">
        <v>21</v>
      </c>
      <c r="X25" s="7" t="s">
        <v>22</v>
      </c>
      <c r="Y25" s="7" t="s">
        <v>23</v>
      </c>
      <c r="Z25" s="7" t="s">
        <v>24</v>
      </c>
      <c r="AA25" s="7" t="s">
        <v>25</v>
      </c>
      <c r="AB25" s="7" t="s">
        <v>53</v>
      </c>
      <c r="AC25" s="7" t="s">
        <v>54</v>
      </c>
    </row>
    <row r="26" spans="1:29">
      <c r="A26" s="4">
        <v>1</v>
      </c>
      <c r="B26" s="12">
        <v>2</v>
      </c>
      <c r="C26" s="6">
        <v>3</v>
      </c>
      <c r="D26" s="4">
        <v>4</v>
      </c>
      <c r="E26" s="12">
        <v>5</v>
      </c>
      <c r="F26" s="6">
        <v>6</v>
      </c>
      <c r="G26" s="4">
        <v>7</v>
      </c>
      <c r="H26" s="12">
        <v>8</v>
      </c>
      <c r="I26" s="6">
        <v>9</v>
      </c>
      <c r="J26" s="4">
        <v>10</v>
      </c>
      <c r="K26" s="12">
        <v>11</v>
      </c>
      <c r="L26" s="6">
        <v>12</v>
      </c>
      <c r="M26" s="4">
        <v>13</v>
      </c>
      <c r="N26" s="12">
        <v>14</v>
      </c>
      <c r="O26" s="6">
        <v>15</v>
      </c>
      <c r="P26" s="4">
        <v>16</v>
      </c>
      <c r="Q26" s="12">
        <v>17</v>
      </c>
      <c r="R26" s="6">
        <v>18</v>
      </c>
      <c r="S26" s="4">
        <v>19</v>
      </c>
      <c r="T26" s="12">
        <v>20</v>
      </c>
      <c r="U26" s="6">
        <v>21</v>
      </c>
      <c r="V26" s="4">
        <v>22</v>
      </c>
      <c r="W26" s="12">
        <v>23</v>
      </c>
      <c r="X26" s="6">
        <v>24</v>
      </c>
      <c r="Y26" s="4">
        <v>25</v>
      </c>
      <c r="Z26" s="12">
        <v>26</v>
      </c>
      <c r="AA26" s="6">
        <v>27</v>
      </c>
      <c r="AB26" s="4">
        <v>28</v>
      </c>
      <c r="AC26" s="12">
        <v>29</v>
      </c>
    </row>
    <row r="27" spans="1:29" ht="23.25">
      <c r="A27" s="13"/>
      <c r="B27" s="14" t="s">
        <v>28</v>
      </c>
      <c r="C27" s="15" t="s">
        <v>89</v>
      </c>
      <c r="D27" s="16">
        <v>140</v>
      </c>
      <c r="E27" s="17">
        <v>2.52</v>
      </c>
      <c r="F27" s="17">
        <v>1.1000000000000001</v>
      </c>
      <c r="G27" s="18">
        <f>ROUNDUP(D27*E27*F27,0)</f>
        <v>389</v>
      </c>
      <c r="H27" s="19">
        <f>1/10.8</f>
        <v>9.2592592592592587E-2</v>
      </c>
      <c r="I27" s="20">
        <f>ROUND(G27*H27,2)</f>
        <v>36.020000000000003</v>
      </c>
      <c r="J27" s="17">
        <v>0</v>
      </c>
      <c r="K27" s="19">
        <f>1/75</f>
        <v>1.3333333333333334E-2</v>
      </c>
      <c r="L27" s="19">
        <f>ROUND(J27*K27,2)</f>
        <v>0</v>
      </c>
      <c r="M27" s="21">
        <f>I27+L27</f>
        <v>36.020000000000003</v>
      </c>
      <c r="N27" s="17">
        <v>680</v>
      </c>
      <c r="O27" s="22">
        <f>ROUND(M27*N27,2)</f>
        <v>24493.599999999999</v>
      </c>
      <c r="P27" s="22">
        <f>ROUND(O27*1.2359,2)</f>
        <v>30271.64</v>
      </c>
      <c r="Q27" s="23">
        <f>ROUND(O27*0.1,2)</f>
        <v>2449.36</v>
      </c>
      <c r="R27" s="23">
        <f>ROUND(Q27*1.2359,2)</f>
        <v>3027.16</v>
      </c>
      <c r="S27" s="24">
        <f>ROUND(O27*0.135,2)</f>
        <v>3306.64</v>
      </c>
      <c r="T27" s="24">
        <f>ROUND(S27*1.2359,2)</f>
        <v>4086.68</v>
      </c>
      <c r="U27" s="25">
        <f>O27+Q27+S27</f>
        <v>30249.599999999999</v>
      </c>
      <c r="V27" s="25">
        <f>P27+R27+T27</f>
        <v>37385.480000000003</v>
      </c>
      <c r="W27" s="26">
        <v>0.18</v>
      </c>
      <c r="X27" s="17">
        <f>ROUND(U27*W27,2)</f>
        <v>5444.93</v>
      </c>
      <c r="Y27" s="17">
        <f>ROUND(V27*W27,2)</f>
        <v>6729.39</v>
      </c>
      <c r="Z27" s="17">
        <f>U27+X27</f>
        <v>35694.53</v>
      </c>
      <c r="AA27" s="17">
        <f>V27+Y27</f>
        <v>44114.87</v>
      </c>
      <c r="AB27" s="17">
        <f>Z27*12</f>
        <v>428334.36</v>
      </c>
      <c r="AC27" s="27">
        <f>ROUND(AA27*12,0)</f>
        <v>529378</v>
      </c>
    </row>
    <row r="28" spans="1:29" hidden="1">
      <c r="A28" s="13"/>
      <c r="B28" s="14"/>
      <c r="C28" s="16"/>
      <c r="D28" s="16"/>
      <c r="E28" s="17"/>
      <c r="F28" s="17"/>
      <c r="G28" s="18"/>
      <c r="H28" s="19"/>
      <c r="I28" s="20"/>
      <c r="J28" s="17"/>
      <c r="K28" s="19"/>
      <c r="L28" s="19"/>
      <c r="M28" s="21"/>
      <c r="N28" s="17"/>
      <c r="O28" s="22"/>
      <c r="P28" s="22"/>
      <c r="Q28" s="23"/>
      <c r="R28" s="23"/>
      <c r="S28" s="24"/>
      <c r="T28" s="24"/>
      <c r="U28" s="25"/>
      <c r="V28" s="25"/>
      <c r="W28" s="26"/>
      <c r="X28" s="17"/>
      <c r="Y28" s="17"/>
      <c r="Z28" s="17"/>
      <c r="AA28" s="17"/>
      <c r="AB28" s="17"/>
      <c r="AC28" s="27"/>
    </row>
    <row r="29" spans="1:29">
      <c r="A29" s="28"/>
      <c r="B29" s="29"/>
      <c r="C29" s="30" t="s">
        <v>32</v>
      </c>
      <c r="D29" s="30">
        <f>SUM(D27:D28)</f>
        <v>140</v>
      </c>
      <c r="E29" s="30"/>
      <c r="F29" s="30"/>
      <c r="G29" s="30">
        <f>SUM(G27:G28)</f>
        <v>389</v>
      </c>
      <c r="H29" s="30"/>
      <c r="I29" s="31">
        <f t="shared" ref="I29" si="5">SUM(I27:I28)</f>
        <v>36.020000000000003</v>
      </c>
      <c r="J29" s="31">
        <f>SUM(J26:J28)</f>
        <v>10</v>
      </c>
      <c r="K29" s="31"/>
      <c r="L29" s="31">
        <f>SUM(L27:L28)</f>
        <v>0</v>
      </c>
      <c r="M29" s="31">
        <f>SUM(M27:M28)</f>
        <v>36.020000000000003</v>
      </c>
      <c r="N29" s="30"/>
      <c r="O29" s="31">
        <f t="shared" ref="O29:V29" si="6">SUM(O27:O28)</f>
        <v>24493.599999999999</v>
      </c>
      <c r="P29" s="31">
        <f t="shared" si="6"/>
        <v>30271.64</v>
      </c>
      <c r="Q29" s="31">
        <f t="shared" si="6"/>
        <v>2449.36</v>
      </c>
      <c r="R29" s="31">
        <f t="shared" si="6"/>
        <v>3027.16</v>
      </c>
      <c r="S29" s="31">
        <f t="shared" si="6"/>
        <v>3306.64</v>
      </c>
      <c r="T29" s="31">
        <f t="shared" si="6"/>
        <v>4086.68</v>
      </c>
      <c r="U29" s="31">
        <f t="shared" si="6"/>
        <v>30249.599999999999</v>
      </c>
      <c r="V29" s="31">
        <f t="shared" si="6"/>
        <v>37385.480000000003</v>
      </c>
      <c r="W29" s="31"/>
      <c r="X29" s="31">
        <f>SUM(X27:X28)</f>
        <v>5444.93</v>
      </c>
      <c r="Y29" s="31">
        <f>SUM(Y26:Y28)</f>
        <v>6754.39</v>
      </c>
      <c r="Z29" s="31">
        <f>SUM(Z27:Z28)</f>
        <v>35694.53</v>
      </c>
      <c r="AA29" s="31">
        <f>SUM(AA26:AA28)</f>
        <v>44141.87</v>
      </c>
      <c r="AB29" s="31">
        <f>SUM(AB27:AB28)</f>
        <v>428334.36</v>
      </c>
      <c r="AC29" s="32">
        <f t="shared" ref="AC29" si="7">SUM(AC27:AC28)</f>
        <v>529378</v>
      </c>
    </row>
    <row r="32" spans="1:29">
      <c r="C32" s="33" t="s">
        <v>33</v>
      </c>
      <c r="E32" t="s">
        <v>34</v>
      </c>
    </row>
    <row r="33" spans="1:24" ht="39">
      <c r="C33" s="34"/>
      <c r="D33" s="34" t="s">
        <v>35</v>
      </c>
      <c r="E33" s="34" t="s">
        <v>36</v>
      </c>
      <c r="F33" s="34"/>
      <c r="G33" s="34" t="s">
        <v>37</v>
      </c>
      <c r="H33" s="34" t="s">
        <v>38</v>
      </c>
      <c r="I33" s="34" t="s">
        <v>39</v>
      </c>
      <c r="J33" s="34" t="s">
        <v>40</v>
      </c>
      <c r="K33" s="34" t="s">
        <v>40</v>
      </c>
      <c r="L33" s="35" t="s">
        <v>41</v>
      </c>
      <c r="M33" s="34" t="s">
        <v>55</v>
      </c>
      <c r="N33" s="34" t="s">
        <v>56</v>
      </c>
      <c r="R33" s="36"/>
      <c r="S33" s="36"/>
      <c r="T33" s="36"/>
      <c r="U33" s="36"/>
      <c r="V33" s="36"/>
      <c r="W33" s="36"/>
      <c r="X33" s="36"/>
    </row>
    <row r="34" spans="1:24" ht="23.25">
      <c r="C34" s="15" t="s">
        <v>31</v>
      </c>
      <c r="D34" s="38">
        <v>15</v>
      </c>
      <c r="E34" s="38">
        <v>0.4</v>
      </c>
      <c r="F34" s="38"/>
      <c r="G34" s="39">
        <v>0</v>
      </c>
      <c r="H34" s="39">
        <f>ROUND(D34*45,2)</f>
        <v>675</v>
      </c>
      <c r="I34" s="39">
        <f>ROUND(E34*114,2)</f>
        <v>45.6</v>
      </c>
      <c r="J34" s="39">
        <f>ROUND(G34*145,2)</f>
        <v>0</v>
      </c>
      <c r="K34" s="39">
        <f>ROUND(G34*140,2)</f>
        <v>0</v>
      </c>
      <c r="L34" s="40">
        <f>SUM(H34:K34)</f>
        <v>720.6</v>
      </c>
      <c r="M34" s="39">
        <f>L34*12</f>
        <v>8647.2000000000007</v>
      </c>
      <c r="N34" s="39">
        <f>ROUND(M34*1.2359,0)</f>
        <v>10687</v>
      </c>
      <c r="R34" s="45"/>
      <c r="S34" s="45"/>
      <c r="T34" s="41"/>
      <c r="U34" s="41"/>
      <c r="V34" s="41"/>
      <c r="W34" s="41"/>
      <c r="X34" s="41"/>
    </row>
    <row r="35" spans="1:24">
      <c r="C35" s="79"/>
      <c r="D35" s="43">
        <f>SUM(D34:D34)</f>
        <v>15</v>
      </c>
      <c r="E35" s="43">
        <f>SUM(E34:E34)</f>
        <v>0.4</v>
      </c>
      <c r="F35" s="43"/>
      <c r="G35" s="43">
        <f t="shared" ref="G35:N35" si="8">SUM(G34:G34)</f>
        <v>0</v>
      </c>
      <c r="H35" s="43">
        <f t="shared" si="8"/>
        <v>675</v>
      </c>
      <c r="I35" s="43">
        <f t="shared" si="8"/>
        <v>45.6</v>
      </c>
      <c r="J35" s="43">
        <f t="shared" si="8"/>
        <v>0</v>
      </c>
      <c r="K35" s="43">
        <f t="shared" si="8"/>
        <v>0</v>
      </c>
      <c r="L35" s="43">
        <f t="shared" si="8"/>
        <v>720.6</v>
      </c>
      <c r="M35" s="43">
        <f t="shared" si="8"/>
        <v>8647.2000000000007</v>
      </c>
      <c r="N35" s="43">
        <f t="shared" si="8"/>
        <v>10687</v>
      </c>
      <c r="R35" s="47"/>
      <c r="S35" s="47"/>
      <c r="T35" s="44"/>
      <c r="U35" s="44"/>
      <c r="V35" s="44"/>
      <c r="W35" s="44"/>
      <c r="X35" s="44"/>
    </row>
    <row r="36" spans="1:24">
      <c r="R36" s="46"/>
      <c r="S36" s="46"/>
      <c r="T36" s="46"/>
    </row>
    <row r="37" spans="1:24">
      <c r="A37" s="3" t="s">
        <v>43</v>
      </c>
      <c r="B37" s="3"/>
      <c r="C37" s="3"/>
      <c r="D37" s="3"/>
    </row>
    <row r="38" spans="1:24" ht="45.75">
      <c r="A38" s="4" t="s">
        <v>0</v>
      </c>
      <c r="B38" s="5" t="s">
        <v>1</v>
      </c>
      <c r="C38" s="6" t="s">
        <v>2</v>
      </c>
      <c r="D38" s="7" t="s">
        <v>42</v>
      </c>
      <c r="Q38" s="33"/>
    </row>
    <row r="39" spans="1:24">
      <c r="A39" s="4" t="s">
        <v>27</v>
      </c>
      <c r="B39" s="12" t="s">
        <v>28</v>
      </c>
      <c r="C39" s="6" t="s">
        <v>29</v>
      </c>
      <c r="D39" s="6" t="s">
        <v>30</v>
      </c>
    </row>
    <row r="40" spans="1:24" ht="23.25">
      <c r="A40" s="13"/>
      <c r="B40" s="14" t="s">
        <v>28</v>
      </c>
      <c r="C40" s="15" t="s">
        <v>89</v>
      </c>
      <c r="D40" s="16">
        <f>AC27+N34</f>
        <v>540065</v>
      </c>
    </row>
    <row r="41" spans="1:24" ht="23.25">
      <c r="A41" s="13"/>
      <c r="B41" s="14"/>
      <c r="C41" s="15" t="s">
        <v>88</v>
      </c>
      <c r="D41" s="16">
        <v>491125</v>
      </c>
    </row>
    <row r="42" spans="1:24">
      <c r="A42" s="28"/>
      <c r="B42" s="48"/>
      <c r="C42" s="49" t="s">
        <v>58</v>
      </c>
      <c r="D42" s="49">
        <f>D40-D41</f>
        <v>48940</v>
      </c>
    </row>
    <row r="45" spans="1:24">
      <c r="C45" t="s">
        <v>78</v>
      </c>
    </row>
    <row r="46" spans="1:24" ht="90.75" thickBot="1">
      <c r="C46" s="50"/>
      <c r="D46" s="64" t="s">
        <v>61</v>
      </c>
      <c r="E46" s="64" t="s">
        <v>59</v>
      </c>
      <c r="F46" s="65" t="s">
        <v>87</v>
      </c>
      <c r="G46" s="65" t="s">
        <v>62</v>
      </c>
      <c r="H46" s="66" t="s">
        <v>63</v>
      </c>
      <c r="I46" s="66" t="s">
        <v>64</v>
      </c>
      <c r="J46" s="67" t="s">
        <v>65</v>
      </c>
      <c r="K46" s="67" t="s">
        <v>66</v>
      </c>
      <c r="L46" s="67" t="s">
        <v>70</v>
      </c>
      <c r="M46" s="67" t="s">
        <v>71</v>
      </c>
      <c r="N46" s="67" t="s">
        <v>73</v>
      </c>
      <c r="O46" s="67" t="s">
        <v>72</v>
      </c>
      <c r="P46" s="68" t="s">
        <v>67</v>
      </c>
      <c r="Q46" s="68" t="s">
        <v>68</v>
      </c>
      <c r="R46" s="68" t="s">
        <v>69</v>
      </c>
      <c r="S46" s="51" t="s">
        <v>69</v>
      </c>
      <c r="T46" s="51" t="s">
        <v>74</v>
      </c>
      <c r="U46" s="51" t="s">
        <v>75</v>
      </c>
    </row>
    <row r="47" spans="1:24" ht="25.5" customHeight="1">
      <c r="C47" s="63" t="s">
        <v>60</v>
      </c>
      <c r="D47" s="69">
        <v>179</v>
      </c>
      <c r="E47" s="70">
        <f>ROUND(D47*0.034,2)</f>
        <v>6.09</v>
      </c>
      <c r="F47" s="71">
        <f>ROUND(E47*680,2)</f>
        <v>4141.2</v>
      </c>
      <c r="G47" s="71">
        <f>ROUND(F47*1.2359,2)</f>
        <v>5118.1099999999997</v>
      </c>
      <c r="H47" s="72">
        <f>ROUND(F47*0.13,2)</f>
        <v>538.36</v>
      </c>
      <c r="I47" s="73">
        <f>ROUND(G47*0.13,2)</f>
        <v>665.35</v>
      </c>
      <c r="J47" s="74">
        <f>ROUND(F47*0.1,0)</f>
        <v>414</v>
      </c>
      <c r="K47" s="74">
        <f>ROUND(G47*0.1,2)</f>
        <v>511.81</v>
      </c>
      <c r="L47" s="74">
        <v>2.93</v>
      </c>
      <c r="M47" s="74">
        <v>0.6</v>
      </c>
      <c r="N47" s="74">
        <f>ROUND(L47*45+M47*114,2)</f>
        <v>200.25</v>
      </c>
      <c r="O47" s="74">
        <f>ROUND(N47*1.2359,2)</f>
        <v>247.49</v>
      </c>
      <c r="P47" s="75">
        <f>F47+H47+J47+N47</f>
        <v>5293.8099999999995</v>
      </c>
      <c r="Q47" s="76">
        <f>G47+I47+K47+O47</f>
        <v>6542.76</v>
      </c>
      <c r="R47" s="77">
        <f>ROUNDUP(P47*4,0)</f>
        <v>21176</v>
      </c>
      <c r="S47" s="52">
        <f>ROUNDUP(Q47*4,0)</f>
        <v>26172</v>
      </c>
      <c r="T47" s="52">
        <f>ROUNDUP(P47*12,0)</f>
        <v>63526</v>
      </c>
      <c r="U47" s="52">
        <f>ROUNDUP(Q47*12,0)</f>
        <v>78514</v>
      </c>
    </row>
    <row r="48" spans="1:24">
      <c r="Q48" s="46"/>
      <c r="R48" s="78" t="s">
        <v>76</v>
      </c>
      <c r="S48" s="53">
        <v>24126</v>
      </c>
      <c r="T48" s="53"/>
      <c r="U48" s="53">
        <v>72378</v>
      </c>
    </row>
    <row r="49" spans="3:21">
      <c r="Q49" s="46"/>
      <c r="R49" s="78" t="s">
        <v>77</v>
      </c>
      <c r="S49" s="54">
        <f>S47-S48</f>
        <v>2046</v>
      </c>
      <c r="T49" s="55"/>
      <c r="U49" s="54">
        <f>U47-U48</f>
        <v>6136</v>
      </c>
    </row>
    <row r="52" spans="3:21">
      <c r="C52" t="s">
        <v>80</v>
      </c>
    </row>
    <row r="53" spans="3:21">
      <c r="C53" s="80" t="s">
        <v>79</v>
      </c>
      <c r="D53" s="80"/>
      <c r="E53" s="53">
        <f>S49+D22</f>
        <v>18360.48000000001</v>
      </c>
    </row>
    <row r="54" spans="3:21">
      <c r="C54" s="80" t="s">
        <v>86</v>
      </c>
      <c r="D54" s="80"/>
      <c r="E54" s="53">
        <f>U49+D42</f>
        <v>55076</v>
      </c>
    </row>
    <row r="57" spans="3:21" ht="15.75">
      <c r="C57" s="57"/>
    </row>
    <row r="58" spans="3:21">
      <c r="C58" s="62" t="s">
        <v>82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81" t="s">
        <v>83</v>
      </c>
      <c r="Q58" s="81"/>
    </row>
    <row r="59" spans="3:21">
      <c r="C59" s="6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</row>
    <row r="60" spans="3:21">
      <c r="C60" s="62" t="s">
        <v>84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81" t="s">
        <v>85</v>
      </c>
      <c r="Q60" s="81"/>
    </row>
    <row r="61" spans="3:21" ht="15.75">
      <c r="C61" s="56"/>
    </row>
    <row r="62" spans="3:21" ht="15.75">
      <c r="C62" s="56"/>
    </row>
    <row r="63" spans="3:21">
      <c r="C63" t="s">
        <v>92</v>
      </c>
    </row>
    <row r="64" spans="3:21">
      <c r="C64" s="59" t="s">
        <v>91</v>
      </c>
    </row>
    <row r="65" spans="3:3" ht="15.75">
      <c r="C65" s="56"/>
    </row>
    <row r="66" spans="3:3" ht="15.75">
      <c r="C66" s="56"/>
    </row>
    <row r="67" spans="3:3">
      <c r="C67" s="58"/>
    </row>
  </sheetData>
  <mergeCells count="5">
    <mergeCell ref="C54:D54"/>
    <mergeCell ref="C53:D53"/>
    <mergeCell ref="P58:Q58"/>
    <mergeCell ref="P60:Q60"/>
    <mergeCell ref="Z1:AB1"/>
  </mergeCells>
  <hyperlinks>
    <hyperlink ref="C64" r:id="rId1"/>
  </hyperlinks>
  <pageMargins left="0.31496062992125984" right="0.31496062992125984" top="0.74803149606299213" bottom="0.15748031496062992" header="0.31496062992125984" footer="0.31496062992125984"/>
  <pageSetup paperSize="9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26" sqref="R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vsk+ievirze</vt:lpstr>
      <vt:lpstr>Lapa3</vt:lpstr>
      <vt:lpstr>'vsk+ievirze'!OLE_LINK3</vt:lpstr>
    </vt:vector>
  </TitlesOfParts>
  <Company>LR Kultūras Ministrija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RoventaP</dc:creator>
  <cp:lastModifiedBy>LeldeP</cp:lastModifiedBy>
  <cp:lastPrinted>2017-02-16T14:37:58Z</cp:lastPrinted>
  <dcterms:created xsi:type="dcterms:W3CDTF">2016-11-23T13:11:29Z</dcterms:created>
  <dcterms:modified xsi:type="dcterms:W3CDTF">2017-03-10T08:48:03Z</dcterms:modified>
</cp:coreProperties>
</file>